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523"/>
  <workbookPr/>
  <mc:AlternateContent xmlns:mc="http://schemas.openxmlformats.org/markup-compatibility/2006">
    <mc:Choice Requires="x15">
      <x15ac:absPath xmlns:x15ac="http://schemas.microsoft.com/office/spreadsheetml/2010/11/ac" url="C:\Roby\AAA_sito\tools e strumenti didattici\"/>
    </mc:Choice>
  </mc:AlternateContent>
  <xr:revisionPtr revIDLastSave="6" documentId="11_A39CADCC6AF0E54CD7DBDFD42C4A4434306FB5CC" xr6:coauthVersionLast="43" xr6:coauthVersionMax="43" xr10:uidLastSave="{52A8CE39-DE0B-4545-83AC-1C2BE95F2F68}"/>
  <bookViews>
    <workbookView xWindow="360" yWindow="15" windowWidth="11340" windowHeight="6540" xr2:uid="{00000000-000D-0000-FFFF-FFFF00000000}"/>
  </bookViews>
  <sheets>
    <sheet name="tratt - guar" sheetId="6" r:id="rId1"/>
    <sheet name="prevenz - evit rischio" sheetId="5" r:id="rId2"/>
    <sheet name="esposiz - malattia" sheetId="4" r:id="rId3"/>
    <sheet name="diagnosi" sheetId="3" r:id="rId4"/>
  </sheets>
  <definedNames>
    <definedName name="_xlnm.Print_Area" localSheetId="3">diagnosi!$A$1:$O$27</definedName>
    <definedName name="_xlnm.Print_Area" localSheetId="1">'prevenz - evit rischio'!$A$1:$O$17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5" i="3" l="1"/>
  <c r="G11" i="3"/>
  <c r="I11" i="3"/>
  <c r="K11" i="3"/>
  <c r="C5" i="3"/>
  <c r="I12" i="3"/>
  <c r="B5" i="3"/>
  <c r="G10" i="3"/>
  <c r="D6" i="3"/>
  <c r="I10" i="3"/>
  <c r="K10" i="3"/>
  <c r="R10" i="3"/>
  <c r="G17" i="3"/>
  <c r="G16" i="3"/>
  <c r="G14" i="3"/>
  <c r="D4" i="3"/>
  <c r="I13" i="3"/>
  <c r="G13" i="3"/>
  <c r="K13" i="3"/>
  <c r="G9" i="4"/>
  <c r="I9" i="4"/>
  <c r="K9" i="4"/>
  <c r="G10" i="4"/>
  <c r="I10" i="4"/>
  <c r="K10" i="4"/>
  <c r="G12" i="4"/>
  <c r="D6" i="4"/>
  <c r="I12" i="4"/>
  <c r="K12" i="4"/>
  <c r="B6" i="4"/>
  <c r="G11" i="4"/>
  <c r="O9" i="4"/>
  <c r="C5" i="4"/>
  <c r="G14" i="4"/>
  <c r="C4" i="4"/>
  <c r="K14" i="4"/>
  <c r="O14" i="4"/>
  <c r="M14" i="4"/>
  <c r="K18" i="4"/>
  <c r="K17" i="4"/>
  <c r="I14" i="4"/>
  <c r="C6" i="4"/>
  <c r="G9" i="5"/>
  <c r="I9" i="5"/>
  <c r="K9" i="5"/>
  <c r="G13" i="5"/>
  <c r="G10" i="5"/>
  <c r="I10" i="5"/>
  <c r="K10" i="5"/>
  <c r="O10" i="5"/>
  <c r="D6" i="5"/>
  <c r="C5" i="5"/>
  <c r="C4" i="5"/>
  <c r="B6" i="5"/>
  <c r="C6" i="5"/>
  <c r="M10" i="5"/>
  <c r="G11" i="5"/>
  <c r="M9" i="5"/>
  <c r="I17" i="5"/>
  <c r="G12" i="5"/>
  <c r="G17" i="5"/>
  <c r="G14" i="5"/>
  <c r="G9" i="6"/>
  <c r="I9" i="6"/>
  <c r="K9" i="6"/>
  <c r="G13" i="6"/>
  <c r="G10" i="6"/>
  <c r="I10" i="6"/>
  <c r="K10" i="6"/>
  <c r="G15" i="6"/>
  <c r="D6" i="6"/>
  <c r="I11" i="6"/>
  <c r="B6" i="6"/>
  <c r="G11" i="6"/>
  <c r="K11" i="6"/>
  <c r="M11" i="6"/>
  <c r="O11" i="6"/>
  <c r="O9" i="6"/>
  <c r="M9" i="6"/>
  <c r="C4" i="6"/>
  <c r="C5" i="6"/>
  <c r="C6" i="6"/>
  <c r="K14" i="6"/>
  <c r="O14" i="6"/>
  <c r="M14" i="6"/>
  <c r="K17" i="6"/>
  <c r="I14" i="6"/>
  <c r="G14" i="6"/>
  <c r="G12" i="6"/>
  <c r="I12" i="6"/>
  <c r="K12" i="6"/>
  <c r="I15" i="6"/>
  <c r="K15" i="6"/>
  <c r="M10" i="6"/>
  <c r="I13" i="6"/>
  <c r="K13" i="6"/>
  <c r="I11" i="4"/>
  <c r="K11" i="4"/>
  <c r="I13" i="4"/>
  <c r="M10" i="4"/>
  <c r="I17" i="4"/>
  <c r="G12" i="3"/>
  <c r="K12" i="3"/>
  <c r="G15" i="3"/>
  <c r="I17" i="6"/>
  <c r="G17" i="6"/>
  <c r="O10" i="6"/>
  <c r="I15" i="5"/>
  <c r="K14" i="5"/>
  <c r="I14" i="5"/>
  <c r="B19" i="5"/>
  <c r="I11" i="5"/>
  <c r="K11" i="5"/>
  <c r="I12" i="5"/>
  <c r="K12" i="5"/>
  <c r="I13" i="5"/>
  <c r="K13" i="5"/>
  <c r="G15" i="5"/>
  <c r="O9" i="5"/>
  <c r="G18" i="4"/>
  <c r="O10" i="4"/>
  <c r="I15" i="4"/>
  <c r="G13" i="4"/>
  <c r="K13" i="4"/>
  <c r="G15" i="4"/>
  <c r="K15" i="4"/>
  <c r="M9" i="4"/>
  <c r="I18" i="4"/>
  <c r="G17" i="4"/>
  <c r="G21" i="3"/>
  <c r="K21" i="3"/>
  <c r="I21" i="3"/>
  <c r="D5" i="3"/>
  <c r="O11" i="3"/>
  <c r="M11" i="3"/>
  <c r="M13" i="5"/>
  <c r="M17" i="5"/>
  <c r="M19" i="5"/>
  <c r="O13" i="5"/>
  <c r="O17" i="5"/>
  <c r="O19" i="5"/>
  <c r="K17" i="5"/>
  <c r="M15" i="6"/>
  <c r="O16" i="6"/>
  <c r="O15" i="6"/>
  <c r="M16" i="6"/>
  <c r="I16" i="6"/>
  <c r="K16" i="6"/>
  <c r="I14" i="3"/>
  <c r="K14" i="3"/>
  <c r="I15" i="3"/>
  <c r="O15" i="4"/>
  <c r="M16" i="4"/>
  <c r="I16" i="4"/>
  <c r="K16" i="4"/>
  <c r="M15" i="4"/>
  <c r="O16" i="4"/>
  <c r="M11" i="5"/>
  <c r="O11" i="5"/>
  <c r="I17" i="3"/>
  <c r="I16" i="3"/>
  <c r="O12" i="3"/>
  <c r="K17" i="3"/>
  <c r="M12" i="3"/>
  <c r="M11" i="4"/>
  <c r="K19" i="4"/>
  <c r="G19" i="4"/>
  <c r="I19" i="4"/>
  <c r="O11" i="4"/>
  <c r="M13" i="6"/>
  <c r="M17" i="6"/>
  <c r="O13" i="6"/>
  <c r="O17" i="6"/>
  <c r="K16" i="3"/>
  <c r="O21" i="3"/>
  <c r="M21" i="3"/>
  <c r="O13" i="4"/>
  <c r="M13" i="4"/>
  <c r="K15" i="5"/>
  <c r="M14" i="5"/>
  <c r="O14" i="5"/>
  <c r="K15" i="3"/>
  <c r="M18" i="4"/>
  <c r="M17" i="4"/>
  <c r="M19" i="4"/>
  <c r="O16" i="3"/>
  <c r="M16" i="3"/>
  <c r="K18" i="3"/>
  <c r="S25" i="3"/>
  <c r="G26" i="3"/>
  <c r="G18" i="3"/>
  <c r="S10" i="3"/>
  <c r="I16" i="5"/>
  <c r="K16" i="5"/>
  <c r="O15" i="5"/>
  <c r="M16" i="5"/>
  <c r="M15" i="5"/>
  <c r="O16" i="5"/>
  <c r="O18" i="4"/>
  <c r="O17" i="4"/>
  <c r="O19" i="4"/>
  <c r="O17" i="3"/>
  <c r="M17" i="3"/>
  <c r="G19" i="3"/>
  <c r="K19" i="3"/>
  <c r="S11" i="3"/>
  <c r="S26" i="3"/>
  <c r="G27" i="3"/>
  <c r="O19" i="3"/>
  <c r="W11" i="3"/>
  <c r="O14" i="3"/>
  <c r="O15" i="3"/>
  <c r="O18" i="3"/>
  <c r="W10" i="3"/>
  <c r="O13" i="3"/>
  <c r="M19" i="3"/>
  <c r="U11" i="3"/>
  <c r="M14" i="3"/>
  <c r="M15" i="3"/>
  <c r="M18" i="3"/>
  <c r="U10" i="3"/>
  <c r="M13" i="3"/>
</calcChain>
</file>

<file path=xl/sharedStrings.xml><?xml version="1.0" encoding="utf-8"?>
<sst xmlns="http://schemas.openxmlformats.org/spreadsheetml/2006/main" count="304" uniqueCount="92">
  <si>
    <t>MODELLO TRATTAMENTO - GUARIGIONE</t>
  </si>
  <si>
    <t>successo</t>
  </si>
  <si>
    <t>insuccesso</t>
  </si>
  <si>
    <t>totale</t>
  </si>
  <si>
    <t>trattati SI</t>
  </si>
  <si>
    <t>trattati NO</t>
  </si>
  <si>
    <t>Beneficio (proporz successi) nei trattati</t>
  </si>
  <si>
    <t>BT</t>
  </si>
  <si>
    <t>=</t>
  </si>
  <si>
    <t>/</t>
  </si>
  <si>
    <t>(da</t>
  </si>
  <si>
    <t>a</t>
  </si>
  <si>
    <t>Beneficio (proporz successi) nei NON trattati</t>
  </si>
  <si>
    <t>BnT</t>
  </si>
  <si>
    <t xml:space="preserve">Beneficio (proporz successi) globale </t>
  </si>
  <si>
    <t>BG</t>
  </si>
  <si>
    <t>Prevalenza del trattamento</t>
  </si>
  <si>
    <t>f</t>
  </si>
  <si>
    <t>beneficio relativo</t>
  </si>
  <si>
    <t>BR</t>
  </si>
  <si>
    <t>odds ratio</t>
  </si>
  <si>
    <t>OR</t>
  </si>
  <si>
    <t>incremento assoluto del beneficio</t>
  </si>
  <si>
    <t>IAB</t>
  </si>
  <si>
    <t>-</t>
  </si>
  <si>
    <t>numero di sogg da trattare x 1 beneficio</t>
  </si>
  <si>
    <t>NNT</t>
  </si>
  <si>
    <t>incremento relativo del beneficio (%)</t>
  </si>
  <si>
    <t>IRB</t>
  </si>
  <si>
    <t>MODELLO PREVENZIONE - EVITAMENTO del RISCHIO</t>
  </si>
  <si>
    <t>mal SI</t>
  </si>
  <si>
    <t>mal NO</t>
  </si>
  <si>
    <t xml:space="preserve"> NON trattati (gruppo di controllo)</t>
  </si>
  <si>
    <t>trattati</t>
  </si>
  <si>
    <t>Rischio (proporz danni) nei NON trattati</t>
  </si>
  <si>
    <t>RnT</t>
  </si>
  <si>
    <t>Rischio (proporz danni) nei trattati</t>
  </si>
  <si>
    <t>RT</t>
  </si>
  <si>
    <t xml:space="preserve">Rischio globale </t>
  </si>
  <si>
    <t>RG</t>
  </si>
  <si>
    <t>Rischio relativo (del non trattamento)</t>
  </si>
  <si>
    <t>RR</t>
  </si>
  <si>
    <t>*</t>
  </si>
  <si>
    <t>riduzione assoluta del rischio (grazie al trattamento)</t>
  </si>
  <si>
    <t>RAR</t>
  </si>
  <si>
    <t>numero di sogg da trattare (NNT) per evitare 1 danno</t>
  </si>
  <si>
    <t>riduzione relativa del rischio (grazie al trattamento)</t>
  </si>
  <si>
    <t>RRR</t>
  </si>
  <si>
    <t>CHI 2</t>
  </si>
  <si>
    <t>(altra formula per int conf del RR)-----&gt;</t>
  </si>
  <si>
    <t>da</t>
  </si>
  <si>
    <t>MODELLO ESPOSIZIONE - MALATTIA</t>
  </si>
  <si>
    <t>esposti  SI</t>
  </si>
  <si>
    <t>esposti NO</t>
  </si>
  <si>
    <t>Rischio negli esposti</t>
  </si>
  <si>
    <t>RE</t>
  </si>
  <si>
    <t>Rischio nei NON esposti</t>
  </si>
  <si>
    <t>RnE</t>
  </si>
  <si>
    <t>Rischio globale</t>
  </si>
  <si>
    <t>Prevalenza dell'esposizione</t>
  </si>
  <si>
    <t>rischio relativo</t>
  </si>
  <si>
    <t>incremento assoluto del rischio</t>
  </si>
  <si>
    <t>IAR</t>
  </si>
  <si>
    <t>numero di sogg da esporre x 1 danno (NNH)</t>
  </si>
  <si>
    <t>NNH</t>
  </si>
  <si>
    <t>incremento relativo del rischio (%)</t>
  </si>
  <si>
    <t>IRR</t>
  </si>
  <si>
    <t>rischio attribuibile negli esposti (%)</t>
  </si>
  <si>
    <t>RAE</t>
  </si>
  <si>
    <t>rischio attribuibile nella popolazione (%)</t>
  </si>
  <si>
    <t>RAP</t>
  </si>
  <si>
    <t>MODELLO TEST DIAGNOSTICO - MALATTIA</t>
  </si>
  <si>
    <t>mal</t>
  </si>
  <si>
    <t>sani</t>
  </si>
  <si>
    <t>test pos</t>
  </si>
  <si>
    <t>test neg</t>
  </si>
  <si>
    <t>CALCOLO DELLA VALIDITA' DEL TEST SUL CAMPIONE CONSIDERATO</t>
  </si>
  <si>
    <t>probabilità pre test</t>
  </si>
  <si>
    <t>odds pre-test</t>
  </si>
  <si>
    <t>sensibilità</t>
  </si>
  <si>
    <t>specificità</t>
  </si>
  <si>
    <t>probabilità post TEST POS (val pred pos)</t>
  </si>
  <si>
    <t>probabilità post TEST NEG (1-val pre neg)</t>
  </si>
  <si>
    <t>valore predittivo neg</t>
  </si>
  <si>
    <t>rapporto di verosimiglianza TEST POS</t>
  </si>
  <si>
    <t>rapporto di verosimiglianza TEST NEG</t>
  </si>
  <si>
    <t>10*ln(rapp di verosimiglianza) - test POS</t>
  </si>
  <si>
    <t>10*ln(rapp di verosimiglianza) - test NEG</t>
  </si>
  <si>
    <t>APPLICAZIONE DEL TEST AD UN'ALTRA POPOLAZIONE</t>
  </si>
  <si>
    <t>INSERIRE QUI il valore di probabilità pre-test-----&gt;</t>
  </si>
  <si>
    <t>SE test positivo, probabilità post-test =</t>
  </si>
  <si>
    <t>SE test negativo, probabilità post-test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</si>
</sst>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-;\-* #,##0_-;_-* &quot;-&quot;_-;_-@_-"/>
    <numFmt numFmtId="165" formatCode="0.0%"/>
    <numFmt numFmtId="166" formatCode="0.0000"/>
    <numFmt numFmtId="167" formatCode="0.000"/>
    <numFmt numFmtId="168" formatCode="0.0"/>
    <numFmt numFmtId="169" formatCode="_-* #,##0.000_-;\-* #,##0.000_-;_-* &quot;-&quot;_-;_-@_-"/>
    <numFmt numFmtId="170" formatCode="_-* #,##0.0000_-;\-* #,##0.0000_-;_-* &quot;-&quot;_-;_-@_-"/>
    <numFmt numFmtId="171" formatCode="0.00\)"/>
    <numFmt numFmtId="172" formatCode="0.0%\)"/>
    <numFmt numFmtId="173" formatCode="0\)"/>
    <numFmt numFmtId="174" formatCode="0.0\)"/>
    <numFmt numFmtId="175" formatCode="0.00%\)"/>
  </numFmts>
  <fonts count="6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6"/>
      <name val="Verdana"/>
      <family val="2"/>
    </font>
    <font>
      <sz val="8"/>
      <name val="Verdana"/>
      <family val="2"/>
    </font>
    <font>
      <b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165" fontId="2" fillId="0" borderId="0" xfId="2" applyNumberFormat="1" applyFont="1" applyProtection="1">
      <protection hidden="1"/>
    </xf>
    <xf numFmtId="165" fontId="2" fillId="0" borderId="0" xfId="0" applyNumberFormat="1" applyFont="1" applyProtection="1">
      <protection hidden="1"/>
    </xf>
    <xf numFmtId="172" fontId="2" fillId="0" borderId="0" xfId="0" applyNumberFormat="1" applyFont="1" applyProtection="1">
      <protection hidden="1"/>
    </xf>
    <xf numFmtId="165" fontId="2" fillId="0" borderId="0" xfId="2" applyNumberFormat="1" applyFont="1" applyAlignment="1" applyProtection="1">
      <alignment horizontal="left"/>
      <protection hidden="1"/>
    </xf>
    <xf numFmtId="2" fontId="2" fillId="0" borderId="0" xfId="0" applyNumberFormat="1" applyFont="1" applyProtection="1">
      <protection hidden="1"/>
    </xf>
    <xf numFmtId="171" fontId="2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167" fontId="2" fillId="0" borderId="0" xfId="0" applyNumberFormat="1" applyFont="1" applyAlignment="1" applyProtection="1">
      <alignment horizontal="left"/>
      <protection hidden="1"/>
    </xf>
    <xf numFmtId="168" fontId="2" fillId="0" borderId="0" xfId="0" applyNumberFormat="1" applyFont="1" applyProtection="1">
      <protection hidden="1"/>
    </xf>
    <xf numFmtId="174" fontId="2" fillId="0" borderId="0" xfId="0" applyNumberFormat="1" applyFont="1" applyProtection="1">
      <protection hidden="1"/>
    </xf>
    <xf numFmtId="0" fontId="2" fillId="0" borderId="0" xfId="0" quotePrefix="1" applyFont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5" fontId="2" fillId="0" borderId="0" xfId="2" applyNumberFormat="1" applyFont="1" applyAlignment="1" applyProtection="1">
      <alignment horizontal="center"/>
      <protection hidden="1"/>
    </xf>
    <xf numFmtId="164" fontId="5" fillId="0" borderId="1" xfId="1" applyFont="1" applyBorder="1" applyAlignment="1" applyProtection="1">
      <alignment horizontal="center" vertical="center" wrapText="1"/>
      <protection hidden="1"/>
    </xf>
    <xf numFmtId="164" fontId="5" fillId="0" borderId="2" xfId="1" applyFont="1" applyBorder="1" applyAlignment="1" applyProtection="1">
      <alignment horizontal="center" vertical="center" wrapText="1"/>
      <protection hidden="1"/>
    </xf>
    <xf numFmtId="164" fontId="5" fillId="0" borderId="3" xfId="1" applyFont="1" applyBorder="1" applyAlignment="1" applyProtection="1">
      <alignment horizontal="center" vertical="center" wrapText="1"/>
      <protection hidden="1"/>
    </xf>
    <xf numFmtId="164" fontId="2" fillId="0" borderId="0" xfId="1" applyFont="1" applyProtection="1">
      <protection hidden="1"/>
    </xf>
    <xf numFmtId="164" fontId="2" fillId="0" borderId="0" xfId="1" applyFont="1" applyAlignment="1" applyProtection="1">
      <alignment horizontal="center"/>
      <protection hidden="1"/>
    </xf>
    <xf numFmtId="164" fontId="2" fillId="0" borderId="0" xfId="1" applyFont="1" applyAlignment="1" applyProtection="1">
      <alignment horizontal="left"/>
      <protection hidden="1"/>
    </xf>
    <xf numFmtId="10" fontId="2" fillId="0" borderId="0" xfId="2" applyNumberFormat="1" applyFont="1" applyProtection="1">
      <protection hidden="1"/>
    </xf>
    <xf numFmtId="10" fontId="2" fillId="0" borderId="0" xfId="0" applyNumberFormat="1" applyFont="1" applyProtection="1">
      <protection hidden="1"/>
    </xf>
    <xf numFmtId="175" fontId="2" fillId="0" borderId="0" xfId="0" applyNumberFormat="1" applyFont="1" applyProtection="1">
      <protection hidden="1"/>
    </xf>
    <xf numFmtId="166" fontId="2" fillId="0" borderId="0" xfId="0" applyNumberFormat="1" applyFont="1" applyProtection="1">
      <protection hidden="1"/>
    </xf>
    <xf numFmtId="166" fontId="2" fillId="0" borderId="0" xfId="0" applyNumberFormat="1" applyFont="1" applyAlignment="1" applyProtection="1">
      <alignment horizontal="left"/>
      <protection hidden="1"/>
    </xf>
    <xf numFmtId="167" fontId="2" fillId="0" borderId="0" xfId="0" applyNumberFormat="1" applyFont="1" applyProtection="1">
      <protection hidden="1"/>
    </xf>
    <xf numFmtId="170" fontId="2" fillId="0" borderId="0" xfId="1" applyNumberFormat="1" applyFont="1" applyProtection="1">
      <protection hidden="1"/>
    </xf>
    <xf numFmtId="1" fontId="2" fillId="0" borderId="0" xfId="0" applyNumberFormat="1" applyFont="1" applyProtection="1"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165" fontId="5" fillId="0" borderId="0" xfId="2" applyNumberFormat="1" applyFont="1" applyAlignment="1" applyProtection="1">
      <alignment horizontal="center"/>
      <protection hidden="1"/>
    </xf>
    <xf numFmtId="1" fontId="2" fillId="0" borderId="0" xfId="0" applyNumberFormat="1" applyFont="1" applyAlignment="1" applyProtection="1">
      <alignment horizontal="center"/>
      <protection hidden="1"/>
    </xf>
    <xf numFmtId="1" fontId="2" fillId="0" borderId="0" xfId="0" applyNumberFormat="1" applyFont="1" applyAlignment="1" applyProtection="1">
      <alignment horizontal="left"/>
      <protection hidden="1"/>
    </xf>
    <xf numFmtId="169" fontId="2" fillId="0" borderId="0" xfId="1" applyNumberFormat="1" applyFont="1" applyAlignment="1" applyProtection="1">
      <alignment horizontal="right"/>
      <protection hidden="1"/>
    </xf>
    <xf numFmtId="168" fontId="2" fillId="0" borderId="0" xfId="0" applyNumberFormat="1" applyFont="1" applyAlignment="1" applyProtection="1">
      <alignment horizontal="center"/>
      <protection hidden="1"/>
    </xf>
    <xf numFmtId="2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Continuous"/>
      <protection hidden="1"/>
    </xf>
    <xf numFmtId="167" fontId="2" fillId="0" borderId="0" xfId="0" applyNumberFormat="1" applyFont="1" applyAlignment="1" applyProtection="1">
      <alignment horizontal="centerContinuous"/>
      <protection hidden="1"/>
    </xf>
    <xf numFmtId="1" fontId="2" fillId="0" borderId="0" xfId="1" applyNumberFormat="1" applyFont="1" applyProtection="1">
      <protection hidden="1"/>
    </xf>
    <xf numFmtId="173" fontId="2" fillId="0" borderId="0" xfId="0" applyNumberFormat="1" applyFont="1" applyProtection="1">
      <protection hidden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164" fontId="5" fillId="3" borderId="1" xfId="1" applyFont="1" applyFill="1" applyBorder="1" applyAlignment="1" applyProtection="1">
      <alignment horizontal="center" vertical="center" wrapText="1"/>
      <protection locked="0"/>
    </xf>
    <xf numFmtId="164" fontId="5" fillId="3" borderId="4" xfId="1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165" fontId="2" fillId="3" borderId="0" xfId="2" applyNumberFormat="1" applyFont="1" applyFill="1" applyProtection="1">
      <protection locked="0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2</xdr:row>
      <xdr:rowOff>66675</xdr:rowOff>
    </xdr:from>
    <xdr:to>
      <xdr:col>14</xdr:col>
      <xdr:colOff>304800</xdr:colOff>
      <xdr:row>5</xdr:row>
      <xdr:rowOff>247650</xdr:rowOff>
    </xdr:to>
    <xdr:sp macro="" textlink="">
      <xdr:nvSpPr>
        <xdr:cNvPr id="5121" name="WordArt 1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05225" y="657225"/>
          <a:ext cx="3705225" cy="12382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it-IT" sz="36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Impact" panose="020B0806030902050204" pitchFamily="34" charset="0"/>
            </a:rPr>
            <a:t>Inserire i numeri nelle caselle gialle.</a:t>
          </a:r>
        </a:p>
        <a:p>
          <a:pPr algn="ctr" rtl="0">
            <a:buNone/>
          </a:pPr>
          <a:endParaRPr lang="it-IT" sz="36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/>
              </a:outerShdw>
            </a:effectLst>
            <a:latin typeface="Impact" panose="020B0806030902050204" pitchFamily="34" charset="0"/>
          </a:endParaRPr>
        </a:p>
        <a:p>
          <a:pPr algn="ctr" rtl="0">
            <a:buNone/>
          </a:pPr>
          <a:r>
            <a:rPr lang="it-IT" sz="36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Impact" panose="020B0806030902050204" pitchFamily="34" charset="0"/>
            </a:rPr>
            <a:t>A cura di Roberto Buzzetti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2</xdr:row>
      <xdr:rowOff>66675</xdr:rowOff>
    </xdr:from>
    <xdr:to>
      <xdr:col>14</xdr:col>
      <xdr:colOff>66675</xdr:colOff>
      <xdr:row>5</xdr:row>
      <xdr:rowOff>247650</xdr:rowOff>
    </xdr:to>
    <xdr:sp macro="" textlink="">
      <xdr:nvSpPr>
        <xdr:cNvPr id="2050" name="WordArt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81475" y="657225"/>
          <a:ext cx="3638550" cy="12382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it-IT" sz="36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Impact" panose="020B0806030902050204" pitchFamily="34" charset="0"/>
            </a:rPr>
            <a:t>Inserire i numeri nelle caselle gialle.</a:t>
          </a:r>
        </a:p>
        <a:p>
          <a:pPr algn="ctr" rtl="0">
            <a:buNone/>
          </a:pPr>
          <a:endParaRPr lang="it-IT" sz="36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/>
              </a:outerShdw>
            </a:effectLst>
            <a:latin typeface="Impact" panose="020B0806030902050204" pitchFamily="34" charset="0"/>
          </a:endParaRPr>
        </a:p>
        <a:p>
          <a:pPr algn="ctr" rtl="0">
            <a:buNone/>
          </a:pPr>
          <a:r>
            <a:rPr lang="it-IT" sz="36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Impact" panose="020B0806030902050204" pitchFamily="34" charset="0"/>
            </a:rPr>
            <a:t>A cura di Roberto Buzzetti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2</xdr:row>
      <xdr:rowOff>66675</xdr:rowOff>
    </xdr:from>
    <xdr:to>
      <xdr:col>12</xdr:col>
      <xdr:colOff>152400</xdr:colOff>
      <xdr:row>5</xdr:row>
      <xdr:rowOff>247650</xdr:rowOff>
    </xdr:to>
    <xdr:sp macro="" textlink="">
      <xdr:nvSpPr>
        <xdr:cNvPr id="3074" name="WordArt 2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05225" y="657225"/>
          <a:ext cx="3638550" cy="12382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it-IT" sz="36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Impact" panose="020B0806030902050204" pitchFamily="34" charset="0"/>
            </a:rPr>
            <a:t>Inserire i numeri nelle caselle gialle.</a:t>
          </a:r>
        </a:p>
        <a:p>
          <a:pPr algn="ctr" rtl="0">
            <a:buNone/>
          </a:pPr>
          <a:endParaRPr lang="it-IT" sz="36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/>
              </a:outerShdw>
            </a:effectLst>
            <a:latin typeface="Impact" panose="020B0806030902050204" pitchFamily="34" charset="0"/>
          </a:endParaRPr>
        </a:p>
        <a:p>
          <a:pPr algn="ctr" rtl="0">
            <a:buNone/>
          </a:pPr>
          <a:r>
            <a:rPr lang="it-IT" sz="36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Impact" panose="020B0806030902050204" pitchFamily="34" charset="0"/>
            </a:rPr>
            <a:t>A cura di Roberto Buzzetti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</xdr:row>
      <xdr:rowOff>114300</xdr:rowOff>
    </xdr:from>
    <xdr:to>
      <xdr:col>14</xdr:col>
      <xdr:colOff>200025</xdr:colOff>
      <xdr:row>5</xdr:row>
      <xdr:rowOff>133350</xdr:rowOff>
    </xdr:to>
    <xdr:sp macro="" textlink="">
      <xdr:nvSpPr>
        <xdr:cNvPr id="4098" name="WordArt 2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9950" y="542925"/>
          <a:ext cx="3638550" cy="12382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it-IT" sz="36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Impact" panose="020B0806030902050204" pitchFamily="34" charset="0"/>
            </a:rPr>
            <a:t>Inserire i numeri nelle caselle gialle.</a:t>
          </a:r>
        </a:p>
        <a:p>
          <a:pPr algn="ctr" rtl="0">
            <a:buNone/>
          </a:pPr>
          <a:endParaRPr lang="it-IT" sz="36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/>
              </a:outerShdw>
            </a:effectLst>
            <a:latin typeface="Impact" panose="020B0806030902050204" pitchFamily="34" charset="0"/>
          </a:endParaRPr>
        </a:p>
        <a:p>
          <a:pPr algn="ctr" rtl="0">
            <a:buNone/>
          </a:pPr>
          <a:r>
            <a:rPr lang="it-IT" sz="36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Impact" panose="020B0806030902050204" pitchFamily="34" charset="0"/>
            </a:rPr>
            <a:t>A cura di Roberto Buzzetti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"/>
  <sheetViews>
    <sheetView tabSelected="1" zoomScale="90" workbookViewId="0" xr3:uid="{AEA406A1-0E4B-5B11-9CD5-51D6E497D94C}">
      <selection activeCell="D5" sqref="D5"/>
    </sheetView>
  </sheetViews>
  <sheetFormatPr defaultRowHeight="12.75"/>
  <cols>
    <col min="1" max="1" width="12.42578125" style="5" customWidth="1"/>
    <col min="2" max="4" width="10.7109375" style="5" customWidth="1"/>
    <col min="5" max="5" width="4.85546875" style="5" customWidth="1"/>
    <col min="6" max="6" width="2.28515625" style="5" customWidth="1"/>
    <col min="7" max="7" width="14.5703125" style="5" customWidth="1"/>
    <col min="8" max="8" width="3.140625" style="5" customWidth="1"/>
    <col min="9" max="9" width="9.7109375" style="5" customWidth="1"/>
    <col min="10" max="10" width="2.28515625" style="5" customWidth="1"/>
    <col min="11" max="11" width="9.140625" style="5"/>
    <col min="12" max="12" width="4.140625" style="5" customWidth="1"/>
    <col min="13" max="13" width="9.42578125" style="5" customWidth="1"/>
    <col min="14" max="14" width="2.42578125" style="5" customWidth="1"/>
    <col min="15" max="15" width="9.7109375" style="5" customWidth="1"/>
    <col min="16" max="16384" width="9.140625" style="5"/>
  </cols>
  <sheetData>
    <row r="1" spans="1:15" s="2" customFormat="1" ht="33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5" ht="23.25" customHeight="1" thickBot="1">
      <c r="A3" s="3"/>
      <c r="B3" s="4" t="s">
        <v>1</v>
      </c>
      <c r="C3" s="4" t="s">
        <v>2</v>
      </c>
      <c r="D3" s="4" t="s">
        <v>3</v>
      </c>
    </row>
    <row r="4" spans="1:15" ht="30" customHeight="1" thickBot="1">
      <c r="A4" s="4" t="s">
        <v>4</v>
      </c>
      <c r="B4" s="52">
        <v>28</v>
      </c>
      <c r="C4" s="6">
        <f>D4-B4</f>
        <v>36</v>
      </c>
      <c r="D4" s="53">
        <v>64</v>
      </c>
    </row>
    <row r="5" spans="1:15" ht="30" customHeight="1" thickBot="1">
      <c r="A5" s="4" t="s">
        <v>5</v>
      </c>
      <c r="B5" s="52">
        <v>24</v>
      </c>
      <c r="C5" s="6">
        <f>D5-B5</f>
        <v>31</v>
      </c>
      <c r="D5" s="53">
        <v>55</v>
      </c>
    </row>
    <row r="6" spans="1:15" ht="30" customHeight="1">
      <c r="A6" s="4" t="s">
        <v>3</v>
      </c>
      <c r="B6" s="7">
        <f>SUM(B4:B5)</f>
        <v>52</v>
      </c>
      <c r="C6" s="7">
        <f>SUM(C4:C5)</f>
        <v>67</v>
      </c>
      <c r="D6" s="8">
        <f>SUM(D4:D5)</f>
        <v>119</v>
      </c>
      <c r="E6" s="9"/>
    </row>
    <row r="9" spans="1:15" ht="14.1" customHeight="1">
      <c r="A9" s="5" t="s">
        <v>6</v>
      </c>
      <c r="E9" s="10" t="s">
        <v>7</v>
      </c>
      <c r="F9" s="10" t="s">
        <v>8</v>
      </c>
      <c r="G9" s="5">
        <f>B4</f>
        <v>28</v>
      </c>
      <c r="H9" s="10" t="s">
        <v>9</v>
      </c>
      <c r="I9" s="11">
        <f>D4</f>
        <v>64</v>
      </c>
      <c r="J9" s="10" t="s">
        <v>8</v>
      </c>
      <c r="K9" s="12">
        <f>G9/I9</f>
        <v>0.4375</v>
      </c>
      <c r="L9" s="5" t="s">
        <v>10</v>
      </c>
      <c r="M9" s="13">
        <f>$K9-1.96*SQRT($K9*(1-$K9)/($I9-1))</f>
        <v>0.315</v>
      </c>
      <c r="N9" s="5" t="s">
        <v>11</v>
      </c>
      <c r="O9" s="14">
        <f>$K9+1.96*SQRT($K9*(1-$K9)/($I9-1))</f>
        <v>0.56000000000000005</v>
      </c>
    </row>
    <row r="10" spans="1:15" ht="14.1" customHeight="1">
      <c r="A10" s="5" t="s">
        <v>12</v>
      </c>
      <c r="E10" s="10" t="s">
        <v>13</v>
      </c>
      <c r="F10" s="10" t="s">
        <v>8</v>
      </c>
      <c r="G10" s="5">
        <f>B5</f>
        <v>24</v>
      </c>
      <c r="H10" s="10" t="s">
        <v>9</v>
      </c>
      <c r="I10" s="11">
        <f>D5</f>
        <v>55</v>
      </c>
      <c r="J10" s="10" t="s">
        <v>8</v>
      </c>
      <c r="K10" s="12">
        <f>G10/I10</f>
        <v>0.43636363636363634</v>
      </c>
      <c r="L10" s="5" t="s">
        <v>10</v>
      </c>
      <c r="M10" s="13">
        <f>$K10-1.96*SQRT($K10*(1-$K10)/($I10-1))</f>
        <v>0.30408705271337155</v>
      </c>
      <c r="N10" s="5" t="s">
        <v>11</v>
      </c>
      <c r="O10" s="14">
        <f>$K10+1.96*SQRT($K10*(1-$K10)/($I10-1))</f>
        <v>0.56864022001390113</v>
      </c>
    </row>
    <row r="11" spans="1:15" ht="14.1" customHeight="1">
      <c r="A11" s="5" t="s">
        <v>14</v>
      </c>
      <c r="E11" s="10" t="s">
        <v>15</v>
      </c>
      <c r="F11" s="10" t="s">
        <v>8</v>
      </c>
      <c r="G11" s="5">
        <f>B6</f>
        <v>52</v>
      </c>
      <c r="H11" s="10" t="s">
        <v>9</v>
      </c>
      <c r="I11" s="11">
        <f>D6</f>
        <v>119</v>
      </c>
      <c r="J11" s="10" t="s">
        <v>8</v>
      </c>
      <c r="K11" s="12">
        <f>G11/I11</f>
        <v>0.43697478991596639</v>
      </c>
      <c r="L11" s="5" t="s">
        <v>10</v>
      </c>
      <c r="M11" s="13">
        <f>$K11-1.96*SQRT($K11*(1-$K11)/($I11-1))</f>
        <v>0.34747805744890803</v>
      </c>
      <c r="N11" s="5" t="s">
        <v>11</v>
      </c>
      <c r="O11" s="14">
        <f>$K11+1.96*SQRT($K11*(1-$K11)/($I11-1))</f>
        <v>0.52647152238302475</v>
      </c>
    </row>
    <row r="12" spans="1:15" ht="14.1" customHeight="1">
      <c r="A12" s="5" t="s">
        <v>16</v>
      </c>
      <c r="E12" s="10" t="s">
        <v>17</v>
      </c>
      <c r="F12" s="10" t="s">
        <v>8</v>
      </c>
      <c r="G12" s="5">
        <f>D4</f>
        <v>64</v>
      </c>
      <c r="H12" s="10" t="s">
        <v>9</v>
      </c>
      <c r="I12" s="11">
        <f>D6</f>
        <v>119</v>
      </c>
      <c r="J12" s="10" t="s">
        <v>8</v>
      </c>
      <c r="K12" s="12">
        <f>G12/I12</f>
        <v>0.53781512605042014</v>
      </c>
    </row>
    <row r="13" spans="1:15" ht="14.1" customHeight="1">
      <c r="A13" s="5" t="s">
        <v>18</v>
      </c>
      <c r="E13" s="10" t="s">
        <v>19</v>
      </c>
      <c r="F13" s="10" t="s">
        <v>8</v>
      </c>
      <c r="G13" s="12">
        <f>K9</f>
        <v>0.4375</v>
      </c>
      <c r="H13" s="10" t="s">
        <v>9</v>
      </c>
      <c r="I13" s="15">
        <f>K10</f>
        <v>0.43636363636363634</v>
      </c>
      <c r="J13" s="10" t="s">
        <v>8</v>
      </c>
      <c r="K13" s="16">
        <f>G13/I13</f>
        <v>1.0026041666666667</v>
      </c>
      <c r="L13" s="5" t="s">
        <v>10</v>
      </c>
      <c r="M13" s="16">
        <f>EXP(LN($K$13)-1.96*SQRT(1/$B$4-1/$D$4+1/$B$5-1/$D$5))</f>
        <v>0.66595191002818033</v>
      </c>
      <c r="N13" s="5" t="s">
        <v>11</v>
      </c>
      <c r="O13" s="17">
        <f>EXP(LN($K$13)+1.96*SQRT(1/$B$4-1/$D$4+1/$B$5-1/$D$5))</f>
        <v>1.5094409969855402</v>
      </c>
    </row>
    <row r="14" spans="1:15" ht="14.1" customHeight="1">
      <c r="A14" s="5" t="s">
        <v>20</v>
      </c>
      <c r="E14" s="10" t="s">
        <v>21</v>
      </c>
      <c r="F14" s="10" t="s">
        <v>8</v>
      </c>
      <c r="G14" s="18" t="str">
        <f>"("&amp;B4&amp;" x "&amp;C5&amp;")"</f>
        <v>(28 x 31)</v>
      </c>
      <c r="H14" s="10" t="s">
        <v>9</v>
      </c>
      <c r="I14" s="11" t="str">
        <f>"("&amp;B5&amp;" x "&amp;C4&amp;")"</f>
        <v>(24 x 36)</v>
      </c>
      <c r="J14" s="10" t="s">
        <v>8</v>
      </c>
      <c r="K14" s="16">
        <f>(B4*C5)/(B5*C4)</f>
        <v>1.0046296296296295</v>
      </c>
      <c r="L14" s="5" t="s">
        <v>10</v>
      </c>
      <c r="M14" s="16">
        <f>EXP(LN($K$14)-1.96*SQRT(1/$B$4+1/$C$4+1/$B$5+1/$C$5))</f>
        <v>0.48580470748585669</v>
      </c>
      <c r="N14" s="5" t="s">
        <v>11</v>
      </c>
      <c r="O14" s="17">
        <f>EXP(LN($K$14)+1.96*SQRT(1/$B$4+1/$C$4+1/$B$5+1/$C$5))</f>
        <v>2.0775440772342657</v>
      </c>
    </row>
    <row r="15" spans="1:15" ht="14.1" customHeight="1">
      <c r="A15" s="5" t="s">
        <v>22</v>
      </c>
      <c r="E15" s="10" t="s">
        <v>23</v>
      </c>
      <c r="F15" s="10" t="s">
        <v>8</v>
      </c>
      <c r="G15" s="12">
        <f>K9</f>
        <v>0.4375</v>
      </c>
      <c r="H15" s="10" t="s">
        <v>24</v>
      </c>
      <c r="I15" s="15">
        <f>K10</f>
        <v>0.43636363636363634</v>
      </c>
      <c r="J15" s="10" t="s">
        <v>8</v>
      </c>
      <c r="K15" s="12">
        <f>G15-I15</f>
        <v>1.1363636363636576E-3</v>
      </c>
      <c r="L15" s="5" t="s">
        <v>10</v>
      </c>
      <c r="M15" s="13">
        <f>$K15-1.96*SQRT($K9*(1-$K9)/($I9-1)+$K10*(1-$K10)/($I10-1))</f>
        <v>-0.17915047610016702</v>
      </c>
      <c r="N15" s="5" t="s">
        <v>11</v>
      </c>
      <c r="O15" s="14">
        <f>$K15+1.96*SQRT($K9*(1-$K9)/($I9-1)+$K10*(1-$K10)/($I10-1))</f>
        <v>0.18142320337289433</v>
      </c>
    </row>
    <row r="16" spans="1:15" ht="14.1" customHeight="1">
      <c r="A16" s="5" t="s">
        <v>25</v>
      </c>
      <c r="E16" s="10" t="s">
        <v>26</v>
      </c>
      <c r="F16" s="10" t="s">
        <v>8</v>
      </c>
      <c r="G16" s="5">
        <v>1</v>
      </c>
      <c r="H16" s="10" t="s">
        <v>9</v>
      </c>
      <c r="I16" s="19">
        <f>K15</f>
        <v>1.1363636363636576E-3</v>
      </c>
      <c r="J16" s="10" t="s">
        <v>8</v>
      </c>
      <c r="K16" s="20">
        <f>G16/I16</f>
        <v>879.99999999998363</v>
      </c>
      <c r="L16" s="5" t="s">
        <v>10</v>
      </c>
      <c r="M16" s="20">
        <f>1/O15</f>
        <v>5.5119741103050428</v>
      </c>
      <c r="N16" s="5" t="s">
        <v>11</v>
      </c>
      <c r="O16" s="21">
        <f>1/M15</f>
        <v>-5.5818997625263229</v>
      </c>
    </row>
    <row r="17" spans="1:15" ht="14.1" customHeight="1">
      <c r="A17" s="5" t="s">
        <v>27</v>
      </c>
      <c r="E17" s="10" t="s">
        <v>28</v>
      </c>
      <c r="F17" s="10" t="s">
        <v>8</v>
      </c>
      <c r="G17" s="22" t="str">
        <f>"("&amp;ROUND(K9,3)&amp;" - "&amp;ROUND(K10,3)&amp;")"</f>
        <v>(0.438 - 0.436)</v>
      </c>
      <c r="H17" s="10" t="s">
        <v>9</v>
      </c>
      <c r="I17" s="19">
        <f>K10</f>
        <v>0.43636363636363634</v>
      </c>
      <c r="J17" s="10" t="s">
        <v>8</v>
      </c>
      <c r="K17" s="12">
        <f>(K9-K10)/K10</f>
        <v>2.6041666666667155E-3</v>
      </c>
      <c r="L17" s="5" t="s">
        <v>10</v>
      </c>
      <c r="M17" s="12">
        <f>M13-1</f>
        <v>-0.33404808997181967</v>
      </c>
      <c r="N17" s="5" t="s">
        <v>11</v>
      </c>
      <c r="O17" s="14">
        <f>O13-1</f>
        <v>0.50944099698554024</v>
      </c>
    </row>
  </sheetData>
  <sheetProtection password="DC67" sheet="1" objects="1" scenarios="1"/>
  <phoneticPr fontId="0" type="noConversion"/>
  <printOptions horizontalCentered="1" verticalCentered="1"/>
  <pageMargins left="0.23622047244094491" right="0.23622047244094491" top="0.55118110236220474" bottom="0.5118110236220472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9"/>
  <sheetViews>
    <sheetView zoomScale="90" workbookViewId="0" xr3:uid="{958C4451-9541-5A59-BF78-D2F731DF1C81}">
      <selection activeCell="C5" sqref="C5"/>
    </sheetView>
  </sheetViews>
  <sheetFormatPr defaultRowHeight="12.75"/>
  <cols>
    <col min="1" max="1" width="14.85546875" style="5" customWidth="1"/>
    <col min="2" max="2" width="13.140625" style="5" customWidth="1"/>
    <col min="3" max="3" width="13.28515625" style="5" customWidth="1"/>
    <col min="4" max="4" width="12.5703125" style="5" customWidth="1"/>
    <col min="5" max="5" width="4.85546875" style="5" customWidth="1"/>
    <col min="6" max="6" width="2.28515625" style="5" customWidth="1"/>
    <col min="7" max="7" width="16.140625" style="5" customWidth="1"/>
    <col min="8" max="8" width="3.140625" style="5" customWidth="1"/>
    <col min="9" max="9" width="11.42578125" style="5" customWidth="1"/>
    <col min="10" max="10" width="2.5703125" style="5" customWidth="1"/>
    <col min="11" max="11" width="7.5703125" style="5" customWidth="1"/>
    <col min="12" max="12" width="4.42578125" style="5" customWidth="1"/>
    <col min="13" max="13" width="7.5703125" style="5" customWidth="1"/>
    <col min="14" max="14" width="2.42578125" style="5" customWidth="1"/>
    <col min="15" max="15" width="8.42578125" style="5" customWidth="1"/>
    <col min="16" max="16384" width="9.140625" style="5"/>
  </cols>
  <sheetData>
    <row r="1" spans="1:16" s="2" customFormat="1" ht="33.75" customHeight="1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6" ht="23.25" customHeight="1" thickBot="1">
      <c r="A3" s="3"/>
      <c r="B3" s="4" t="s">
        <v>30</v>
      </c>
      <c r="C3" s="4" t="s">
        <v>31</v>
      </c>
      <c r="D3" s="4" t="s">
        <v>3</v>
      </c>
    </row>
    <row r="4" spans="1:16" ht="30" customHeight="1" thickBot="1">
      <c r="A4" s="23" t="s">
        <v>32</v>
      </c>
      <c r="B4" s="52">
        <v>53</v>
      </c>
      <c r="C4" s="6">
        <f>D4-B4</f>
        <v>447</v>
      </c>
      <c r="D4" s="53">
        <v>500</v>
      </c>
    </row>
    <row r="5" spans="1:16" ht="30" customHeight="1" thickBot="1">
      <c r="A5" s="4" t="s">
        <v>33</v>
      </c>
      <c r="B5" s="52">
        <v>48</v>
      </c>
      <c r="C5" s="6">
        <f>D5-B5</f>
        <v>954</v>
      </c>
      <c r="D5" s="53">
        <v>1002</v>
      </c>
    </row>
    <row r="6" spans="1:16" ht="30" customHeight="1">
      <c r="A6" s="4" t="s">
        <v>3</v>
      </c>
      <c r="B6" s="7">
        <f>SUM(B4:B5)</f>
        <v>101</v>
      </c>
      <c r="C6" s="7">
        <f>SUM(C4:C5)</f>
        <v>1401</v>
      </c>
      <c r="D6" s="8">
        <f>SUM(D4:D5)</f>
        <v>1502</v>
      </c>
      <c r="E6" s="9"/>
    </row>
    <row r="9" spans="1:16" ht="14.1" customHeight="1">
      <c r="A9" s="5" t="s">
        <v>34</v>
      </c>
      <c r="E9" s="10" t="s">
        <v>35</v>
      </c>
      <c r="F9" s="10" t="s">
        <v>8</v>
      </c>
      <c r="G9" s="5">
        <f>B4</f>
        <v>53</v>
      </c>
      <c r="H9" s="10" t="s">
        <v>9</v>
      </c>
      <c r="I9" s="11">
        <f>D4</f>
        <v>500</v>
      </c>
      <c r="J9" s="10" t="s">
        <v>8</v>
      </c>
      <c r="K9" s="12">
        <f>G9/I9</f>
        <v>0.106</v>
      </c>
      <c r="L9" s="5" t="s">
        <v>10</v>
      </c>
      <c r="M9" s="13">
        <f>$K9-1.96*SQRT($K9*(1-$K9)/($I9-1))</f>
        <v>7.8989819242939935E-2</v>
      </c>
      <c r="N9" s="5" t="s">
        <v>11</v>
      </c>
      <c r="O9" s="14">
        <f>$K9+1.96*SQRT($K9*(1-$K9)/($I9-1))</f>
        <v>0.13301018075706006</v>
      </c>
    </row>
    <row r="10" spans="1:16" ht="14.1" customHeight="1">
      <c r="A10" s="5" t="s">
        <v>36</v>
      </c>
      <c r="E10" s="10" t="s">
        <v>37</v>
      </c>
      <c r="F10" s="10" t="s">
        <v>8</v>
      </c>
      <c r="G10" s="5">
        <f>B5</f>
        <v>48</v>
      </c>
      <c r="H10" s="10" t="s">
        <v>9</v>
      </c>
      <c r="I10" s="11">
        <f>D5</f>
        <v>1002</v>
      </c>
      <c r="J10" s="10" t="s">
        <v>8</v>
      </c>
      <c r="K10" s="12">
        <f>G10/I10</f>
        <v>4.790419161676647E-2</v>
      </c>
      <c r="L10" s="5" t="s">
        <v>10</v>
      </c>
      <c r="M10" s="13">
        <f>$K10-1.96*SQRT($K10*(1-$K10)/($I10-1))</f>
        <v>3.4674000521618745E-2</v>
      </c>
      <c r="N10" s="5" t="s">
        <v>11</v>
      </c>
      <c r="O10" s="14">
        <f>$K10+1.96*SQRT($K10*(1-$K10)/($I10-1))</f>
        <v>6.1134382711914195E-2</v>
      </c>
    </row>
    <row r="11" spans="1:16" ht="14.1" customHeight="1">
      <c r="A11" s="5" t="s">
        <v>38</v>
      </c>
      <c r="E11" s="10" t="s">
        <v>39</v>
      </c>
      <c r="F11" s="10" t="s">
        <v>8</v>
      </c>
      <c r="G11" s="5">
        <f>B6</f>
        <v>101</v>
      </c>
      <c r="H11" s="10" t="s">
        <v>9</v>
      </c>
      <c r="I11" s="11">
        <f>D6</f>
        <v>1502</v>
      </c>
      <c r="J11" s="10" t="s">
        <v>8</v>
      </c>
      <c r="K11" s="12">
        <f>G11/I11</f>
        <v>6.724367509986684E-2</v>
      </c>
      <c r="L11" s="5" t="s">
        <v>10</v>
      </c>
      <c r="M11" s="13">
        <f>$K11-1.96*SQRT($K11*(1-$K11)/($I11-1))</f>
        <v>5.4573706251052803E-2</v>
      </c>
      <c r="N11" s="5" t="s">
        <v>11</v>
      </c>
      <c r="O11" s="14">
        <f>$K11+1.96*SQRT($K11*(1-$K11)/($I11-1))</f>
        <v>7.9913643948680876E-2</v>
      </c>
    </row>
    <row r="12" spans="1:16" ht="14.1" customHeight="1">
      <c r="A12" s="5" t="s">
        <v>16</v>
      </c>
      <c r="E12" s="10" t="s">
        <v>17</v>
      </c>
      <c r="F12" s="10" t="s">
        <v>8</v>
      </c>
      <c r="G12" s="5">
        <f>D5</f>
        <v>1002</v>
      </c>
      <c r="H12" s="10" t="s">
        <v>9</v>
      </c>
      <c r="I12" s="11">
        <f>D6</f>
        <v>1502</v>
      </c>
      <c r="J12" s="10" t="s">
        <v>8</v>
      </c>
      <c r="K12" s="12">
        <f>G12/I12</f>
        <v>0.66711051930758991</v>
      </c>
    </row>
    <row r="13" spans="1:16" ht="14.1" customHeight="1">
      <c r="A13" s="5" t="s">
        <v>40</v>
      </c>
      <c r="E13" s="10" t="s">
        <v>41</v>
      </c>
      <c r="F13" s="10" t="s">
        <v>8</v>
      </c>
      <c r="G13" s="12">
        <f>K9</f>
        <v>0.106</v>
      </c>
      <c r="H13" s="24" t="s">
        <v>9</v>
      </c>
      <c r="I13" s="15">
        <f>K10</f>
        <v>4.790419161676647E-2</v>
      </c>
      <c r="J13" s="10" t="s">
        <v>8</v>
      </c>
      <c r="K13" s="16">
        <f>G13/I13</f>
        <v>2.2127499999999998</v>
      </c>
      <c r="L13" s="5" t="s">
        <v>10</v>
      </c>
      <c r="M13" s="16">
        <f>EXP(LN($K$13)-1.96*SQRT(1/$B$4-1/$D$4+1/$B$5-1/$D$5))</f>
        <v>1.5200412266505117</v>
      </c>
      <c r="N13" s="5" t="s">
        <v>11</v>
      </c>
      <c r="O13" s="17">
        <f>EXP(LN($K$13)+1.96*SQRT(1/$B$4-1/$D$4+1/$B$5-1/$D$5))</f>
        <v>3.2211380037955699</v>
      </c>
    </row>
    <row r="14" spans="1:16" ht="14.1" customHeight="1">
      <c r="A14" s="5" t="s">
        <v>20</v>
      </c>
      <c r="E14" s="10" t="s">
        <v>21</v>
      </c>
      <c r="F14" s="10" t="s">
        <v>8</v>
      </c>
      <c r="G14" s="18" t="str">
        <f>"("&amp;B4&amp;" x "&amp;C5&amp;")"</f>
        <v>(53 x 954)</v>
      </c>
      <c r="H14" s="10" t="s">
        <v>9</v>
      </c>
      <c r="I14" s="11" t="str">
        <f>"("&amp;B5&amp;" x "&amp;C4&amp;")"</f>
        <v>(48 x 447)</v>
      </c>
      <c r="J14" s="10" t="s">
        <v>8</v>
      </c>
      <c r="K14" s="16">
        <f>(B4*C5)/(B5*C4)</f>
        <v>2.3565436241610738</v>
      </c>
      <c r="L14" s="5" t="s">
        <v>10</v>
      </c>
      <c r="M14" s="16">
        <f>EXP(LN($K$14)-1.96*SQRT(1/$B$4+1/$C$4+1/$B$5+1/$C$5))</f>
        <v>1.5696065825738383</v>
      </c>
      <c r="N14" s="5" t="s">
        <v>11</v>
      </c>
      <c r="O14" s="17">
        <f>EXP(LN($K$14)+1.96*SQRT(1/$B$4+1/$C$4+1/$B$5+1/$C$5))</f>
        <v>3.5380189623490992</v>
      </c>
      <c r="P14" s="5" t="s">
        <v>42</v>
      </c>
    </row>
    <row r="15" spans="1:16" ht="14.1" customHeight="1">
      <c r="A15" s="5" t="s">
        <v>43</v>
      </c>
      <c r="E15" s="10" t="s">
        <v>44</v>
      </c>
      <c r="F15" s="10" t="s">
        <v>8</v>
      </c>
      <c r="G15" s="12">
        <f>K9</f>
        <v>0.106</v>
      </c>
      <c r="H15" s="24" t="s">
        <v>24</v>
      </c>
      <c r="I15" s="15">
        <f>K10</f>
        <v>4.790419161676647E-2</v>
      </c>
      <c r="J15" s="10" t="s">
        <v>8</v>
      </c>
      <c r="K15" s="12">
        <f>G15-I15</f>
        <v>5.8095808383233527E-2</v>
      </c>
      <c r="L15" s="5" t="s">
        <v>10</v>
      </c>
      <c r="M15" s="13">
        <f>$K15-1.96*SQRT($K9*(1-$K9)/($I9-1)+$K10*(1-$K10)/($I10-1))</f>
        <v>2.8019441898181108E-2</v>
      </c>
      <c r="N15" s="5" t="s">
        <v>11</v>
      </c>
      <c r="O15" s="14">
        <f>$K15+1.96*SQRT($K9*(1-$K9)/($I9-1)+$K10*(1-$K10)/($I10-1))</f>
        <v>8.8172174868285949E-2</v>
      </c>
      <c r="P15" s="5" t="s">
        <v>42</v>
      </c>
    </row>
    <row r="16" spans="1:16" ht="14.1" customHeight="1">
      <c r="A16" s="5" t="s">
        <v>45</v>
      </c>
      <c r="E16" s="10" t="s">
        <v>26</v>
      </c>
      <c r="F16" s="10" t="s">
        <v>8</v>
      </c>
      <c r="G16" s="5">
        <v>1</v>
      </c>
      <c r="H16" s="10" t="s">
        <v>9</v>
      </c>
      <c r="I16" s="19">
        <f>K15</f>
        <v>5.8095808383233527E-2</v>
      </c>
      <c r="J16" s="10" t="s">
        <v>8</v>
      </c>
      <c r="K16" s="20">
        <f>G16/I16</f>
        <v>17.212945784374359</v>
      </c>
      <c r="L16" s="5" t="s">
        <v>10</v>
      </c>
      <c r="M16" s="20">
        <f>1/O15</f>
        <v>11.34144645398424</v>
      </c>
      <c r="N16" s="5" t="s">
        <v>11</v>
      </c>
      <c r="O16" s="21">
        <f>1/M15</f>
        <v>35.689504581635347</v>
      </c>
    </row>
    <row r="17" spans="1:15" ht="14.1" customHeight="1">
      <c r="A17" s="5" t="s">
        <v>46</v>
      </c>
      <c r="E17" s="10" t="s">
        <v>47</v>
      </c>
      <c r="F17" s="10" t="s">
        <v>8</v>
      </c>
      <c r="G17" s="22" t="str">
        <f>"("&amp;ROUND(K9,3)&amp;" - "&amp;ROUND(K10,3)&amp;")"</f>
        <v>(0,106 - 0,048)</v>
      </c>
      <c r="H17" s="10" t="s">
        <v>9</v>
      </c>
      <c r="I17" s="19">
        <f>K9</f>
        <v>0.106</v>
      </c>
      <c r="J17" s="10" t="s">
        <v>8</v>
      </c>
      <c r="K17" s="12">
        <f>1-1/K13</f>
        <v>0.54807366399276913</v>
      </c>
      <c r="L17" s="5" t="s">
        <v>10</v>
      </c>
      <c r="M17" s="12">
        <f>1-1/M13</f>
        <v>0.34212310661892309</v>
      </c>
      <c r="N17" s="5" t="s">
        <v>11</v>
      </c>
      <c r="O17" s="14">
        <f>1-1/O13</f>
        <v>0.68955071194662632</v>
      </c>
    </row>
    <row r="19" spans="1:15">
      <c r="A19" s="5" t="s">
        <v>48</v>
      </c>
      <c r="B19" s="16">
        <f>D6*(B4*C5-B5*C4)^2/(B6*C6*D4*D5)</f>
        <v>17.948896272119615</v>
      </c>
      <c r="G19" s="5" t="s">
        <v>49</v>
      </c>
      <c r="L19" s="5" t="s">
        <v>50</v>
      </c>
      <c r="M19" s="16">
        <f>$K13^(1-1.96/SQRT($B19))</f>
        <v>1.5323396710315802</v>
      </c>
      <c r="N19" s="5" t="s">
        <v>11</v>
      </c>
      <c r="O19" s="16">
        <f>$K13^(1+1.96/SQRT($B19))</f>
        <v>3.1952853894357545</v>
      </c>
    </row>
  </sheetData>
  <sheetProtection password="DC67" sheet="1" objects="1" scenarios="1"/>
  <phoneticPr fontId="0" type="noConversion"/>
  <printOptions horizontalCentered="1" verticalCentered="1"/>
  <pageMargins left="0.49" right="0.44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3"/>
  <sheetViews>
    <sheetView zoomScale="90" workbookViewId="0" xr3:uid="{842E5F09-E766-5B8D-85AF-A39847EA96FD}">
      <selection activeCell="I9" sqref="I9"/>
    </sheetView>
  </sheetViews>
  <sheetFormatPr defaultRowHeight="12.75"/>
  <cols>
    <col min="1" max="1" width="12.42578125" style="5" customWidth="1"/>
    <col min="2" max="2" width="8.7109375" style="5" customWidth="1"/>
    <col min="3" max="4" width="11.85546875" style="5" customWidth="1"/>
    <col min="5" max="5" width="4.85546875" style="5" customWidth="1"/>
    <col min="6" max="6" width="2.28515625" style="5" customWidth="1"/>
    <col min="7" max="7" width="18.7109375" style="5" customWidth="1"/>
    <col min="8" max="8" width="3.140625" style="5" customWidth="1"/>
    <col min="9" max="9" width="16.5703125" style="5" customWidth="1"/>
    <col min="10" max="10" width="2.28515625" style="5" customWidth="1"/>
    <col min="11" max="11" width="11" style="5" customWidth="1"/>
    <col min="12" max="12" width="4.140625" style="5" customWidth="1"/>
    <col min="13" max="13" width="8.140625" style="5" customWidth="1"/>
    <col min="14" max="14" width="2.42578125" style="5" customWidth="1"/>
    <col min="15" max="15" width="9.7109375" style="5" customWidth="1"/>
    <col min="16" max="16384" width="9.140625" style="5"/>
  </cols>
  <sheetData>
    <row r="1" spans="1:15" s="2" customFormat="1" ht="33.75" customHeight="1">
      <c r="A1" s="1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5" ht="23.25" customHeight="1" thickBot="1">
      <c r="A3" s="3"/>
      <c r="B3" s="4" t="s">
        <v>30</v>
      </c>
      <c r="C3" s="4" t="s">
        <v>31</v>
      </c>
      <c r="D3" s="4" t="s">
        <v>3</v>
      </c>
    </row>
    <row r="4" spans="1:15" ht="30" customHeight="1" thickBot="1">
      <c r="A4" s="4" t="s">
        <v>52</v>
      </c>
      <c r="B4" s="54">
        <v>321</v>
      </c>
      <c r="C4" s="25">
        <f>D4-B4</f>
        <v>212317</v>
      </c>
      <c r="D4" s="55">
        <v>212638</v>
      </c>
    </row>
    <row r="5" spans="1:15" ht="30" customHeight="1" thickBot="1">
      <c r="A5" s="4" t="s">
        <v>53</v>
      </c>
      <c r="B5" s="54">
        <v>377</v>
      </c>
      <c r="C5" s="25">
        <f>D5-B5</f>
        <v>540311</v>
      </c>
      <c r="D5" s="55">
        <v>540688</v>
      </c>
    </row>
    <row r="6" spans="1:15" ht="30" customHeight="1">
      <c r="A6" s="4" t="s">
        <v>3</v>
      </c>
      <c r="B6" s="26">
        <f>SUM(B4:B5)</f>
        <v>698</v>
      </c>
      <c r="C6" s="26">
        <f>SUM(C4:C5)</f>
        <v>752628</v>
      </c>
      <c r="D6" s="27">
        <f>SUM(D4:D5)</f>
        <v>753326</v>
      </c>
      <c r="E6" s="9"/>
    </row>
    <row r="9" spans="1:15" ht="14.1" customHeight="1">
      <c r="A9" s="5" t="s">
        <v>54</v>
      </c>
      <c r="E9" s="10" t="s">
        <v>55</v>
      </c>
      <c r="F9" s="10" t="s">
        <v>8</v>
      </c>
      <c r="G9" s="28">
        <f>B4</f>
        <v>321</v>
      </c>
      <c r="H9" s="29" t="s">
        <v>9</v>
      </c>
      <c r="I9" s="30">
        <f>D4</f>
        <v>212638</v>
      </c>
      <c r="J9" s="10" t="s">
        <v>8</v>
      </c>
      <c r="K9" s="31">
        <f>G9/I9</f>
        <v>1.5096078781779362E-3</v>
      </c>
      <c r="L9" s="5" t="s">
        <v>10</v>
      </c>
      <c r="M9" s="32">
        <f>$K9-1.96*SQRT($K9*(1-$K9)/($I9-1))</f>
        <v>1.3445863231973262E-3</v>
      </c>
      <c r="N9" s="5" t="s">
        <v>11</v>
      </c>
      <c r="O9" s="33">
        <f>$K9+1.96*SQRT($K9*(1-$K9)/($I9-1))</f>
        <v>1.6746294331585463E-3</v>
      </c>
    </row>
    <row r="10" spans="1:15" ht="14.1" customHeight="1">
      <c r="A10" s="5" t="s">
        <v>56</v>
      </c>
      <c r="E10" s="10" t="s">
        <v>57</v>
      </c>
      <c r="F10" s="10" t="s">
        <v>8</v>
      </c>
      <c r="G10" s="28">
        <f>B5</f>
        <v>377</v>
      </c>
      <c r="H10" s="29" t="s">
        <v>9</v>
      </c>
      <c r="I10" s="30">
        <f>D5</f>
        <v>540688</v>
      </c>
      <c r="J10" s="10" t="s">
        <v>8</v>
      </c>
      <c r="K10" s="31">
        <f>G10/I10</f>
        <v>6.972597875299618E-4</v>
      </c>
      <c r="L10" s="5" t="s">
        <v>10</v>
      </c>
      <c r="M10" s="32">
        <f>$K10-1.96*SQRT($K10*(1-$K10)/($I10-1))</f>
        <v>6.2689928117213071E-4</v>
      </c>
      <c r="N10" s="5" t="s">
        <v>11</v>
      </c>
      <c r="O10" s="33">
        <f>$K10+1.96*SQRT($K10*(1-$K10)/($I10-1))</f>
        <v>7.676202938877929E-4</v>
      </c>
    </row>
    <row r="11" spans="1:15" ht="14.1" customHeight="1">
      <c r="A11" s="5" t="s">
        <v>58</v>
      </c>
      <c r="E11" s="10" t="s">
        <v>39</v>
      </c>
      <c r="F11" s="10" t="s">
        <v>8</v>
      </c>
      <c r="G11" s="28">
        <f>B6</f>
        <v>698</v>
      </c>
      <c r="H11" s="29" t="s">
        <v>9</v>
      </c>
      <c r="I11" s="30">
        <f>D6</f>
        <v>753326</v>
      </c>
      <c r="J11" s="10" t="s">
        <v>8</v>
      </c>
      <c r="K11" s="31">
        <f>G11/I11</f>
        <v>9.2655769215452537E-4</v>
      </c>
      <c r="L11" s="5" t="s">
        <v>10</v>
      </c>
      <c r="M11" s="32">
        <f>$K11-1.96*SQRT($K11*(1-$K11)/($I11-1))</f>
        <v>8.5785087640151674E-4</v>
      </c>
      <c r="N11" s="5" t="s">
        <v>11</v>
      </c>
      <c r="O11" s="33">
        <f>$K11+1.96*SQRT($K11*(1-$K11)/($I11-1))</f>
        <v>9.95264507907534E-4</v>
      </c>
    </row>
    <row r="12" spans="1:15" ht="14.1" customHeight="1">
      <c r="A12" s="5" t="s">
        <v>59</v>
      </c>
      <c r="E12" s="10" t="s">
        <v>17</v>
      </c>
      <c r="F12" s="10" t="s">
        <v>8</v>
      </c>
      <c r="G12" s="28">
        <f>D4</f>
        <v>212638</v>
      </c>
      <c r="H12" s="29" t="s">
        <v>9</v>
      </c>
      <c r="I12" s="30">
        <f>D6</f>
        <v>753326</v>
      </c>
      <c r="J12" s="10" t="s">
        <v>8</v>
      </c>
      <c r="K12" s="12">
        <f>G12/I12</f>
        <v>0.28226557957643833</v>
      </c>
      <c r="L12" s="5" t="s">
        <v>10</v>
      </c>
    </row>
    <row r="13" spans="1:15" ht="14.1" customHeight="1">
      <c r="A13" s="5" t="s">
        <v>60</v>
      </c>
      <c r="E13" s="10" t="s">
        <v>41</v>
      </c>
      <c r="F13" s="10" t="s">
        <v>8</v>
      </c>
      <c r="G13" s="34">
        <f>K9</f>
        <v>1.5096078781779362E-3</v>
      </c>
      <c r="H13" s="10" t="s">
        <v>9</v>
      </c>
      <c r="I13" s="35">
        <f>K10</f>
        <v>6.972597875299618E-4</v>
      </c>
      <c r="J13" s="10" t="s">
        <v>8</v>
      </c>
      <c r="K13" s="36">
        <f>G13/I13</f>
        <v>2.1650579958521803</v>
      </c>
      <c r="L13" s="5" t="s">
        <v>10</v>
      </c>
      <c r="M13" s="16">
        <f>EXP(LN($K$13)-1.96*SQRT(1/$B$4-1/$D$4+1/$B$5-1/$D$5))</f>
        <v>1.8657772002084523</v>
      </c>
      <c r="N13" s="5" t="s">
        <v>11</v>
      </c>
      <c r="O13" s="17">
        <f>EXP(LN($K$13)+1.96*SQRT(1/$B$4-1/$D$4+1/$B$5-1/$D$5))</f>
        <v>2.5123450564621299</v>
      </c>
    </row>
    <row r="14" spans="1:15" ht="14.1" customHeight="1">
      <c r="A14" s="5" t="s">
        <v>20</v>
      </c>
      <c r="E14" s="10" t="s">
        <v>21</v>
      </c>
      <c r="F14" s="10" t="s">
        <v>8</v>
      </c>
      <c r="G14" s="18" t="str">
        <f>"("&amp;B4&amp;" x "&amp;C5&amp;")"</f>
        <v>(321 x 540311)</v>
      </c>
      <c r="H14" s="10" t="s">
        <v>9</v>
      </c>
      <c r="I14" s="11" t="str">
        <f>"("&amp;B5&amp;" x "&amp;C4&amp;")"</f>
        <v>(377 x 212317)</v>
      </c>
      <c r="J14" s="10" t="s">
        <v>8</v>
      </c>
      <c r="K14" s="36">
        <f>(B4*C5)/(B5*C4)</f>
        <v>2.1668194356646708</v>
      </c>
      <c r="L14" s="5" t="s">
        <v>10</v>
      </c>
      <c r="M14" s="16">
        <f>EXP(LN($K$14)-1.96*SQRT(1/$B$4+1/$C$4+1/$B$5+1/$C$5))</f>
        <v>1.866979214641846</v>
      </c>
      <c r="N14" s="5" t="s">
        <v>11</v>
      </c>
      <c r="O14" s="17">
        <f>EXP(LN($K$14)+1.96*SQRT(1/$B$4+1/$C$4+1/$B$5+1/$C$5))</f>
        <v>2.5148145356695113</v>
      </c>
    </row>
    <row r="15" spans="1:15" ht="14.1" customHeight="1">
      <c r="A15" s="5" t="s">
        <v>61</v>
      </c>
      <c r="E15" s="10" t="s">
        <v>62</v>
      </c>
      <c r="F15" s="10" t="s">
        <v>8</v>
      </c>
      <c r="G15" s="37">
        <f>K9</f>
        <v>1.5096078781779362E-3</v>
      </c>
      <c r="H15" s="10" t="s">
        <v>24</v>
      </c>
      <c r="I15" s="35">
        <f>K10</f>
        <v>6.972597875299618E-4</v>
      </c>
      <c r="J15" s="10" t="s">
        <v>8</v>
      </c>
      <c r="K15" s="34">
        <f>G15-I15</f>
        <v>8.1234809064797443E-4</v>
      </c>
      <c r="L15" s="5" t="s">
        <v>10</v>
      </c>
      <c r="M15" s="13">
        <f>$K15-1.96*SQRT($K9*(1-$K9)/($I9-1)+$K10*(1-$K10)/($I10-1))</f>
        <v>6.3295267692970543E-4</v>
      </c>
      <c r="N15" s="5" t="s">
        <v>11</v>
      </c>
      <c r="O15" s="14">
        <f>$K15+1.96*SQRT($K9*(1-$K9)/($I9-1)+$K10*(1-$K10)/($I10-1))</f>
        <v>9.9174350436624344E-4</v>
      </c>
    </row>
    <row r="16" spans="1:15" ht="14.1" customHeight="1">
      <c r="A16" s="5" t="s">
        <v>63</v>
      </c>
      <c r="E16" s="10" t="s">
        <v>64</v>
      </c>
      <c r="F16" s="10" t="s">
        <v>8</v>
      </c>
      <c r="G16" s="5">
        <v>1</v>
      </c>
      <c r="H16" s="10" t="s">
        <v>9</v>
      </c>
      <c r="I16" s="35">
        <f>K15</f>
        <v>8.1234809064797443E-4</v>
      </c>
      <c r="J16" s="10" t="s">
        <v>8</v>
      </c>
      <c r="K16" s="38">
        <f>G16/I16</f>
        <v>1230.999385007902</v>
      </c>
      <c r="L16" s="5" t="s">
        <v>10</v>
      </c>
      <c r="M16" s="20">
        <f>1/O15</f>
        <v>1008.3252328827026</v>
      </c>
      <c r="N16" s="5" t="s">
        <v>11</v>
      </c>
      <c r="O16" s="21">
        <f>1/M15</f>
        <v>1579.8969440349774</v>
      </c>
    </row>
    <row r="17" spans="1:15" ht="14.1" customHeight="1">
      <c r="A17" s="5" t="s">
        <v>65</v>
      </c>
      <c r="E17" s="10" t="s">
        <v>66</v>
      </c>
      <c r="F17" s="10" t="s">
        <v>8</v>
      </c>
      <c r="G17" s="22" t="str">
        <f>"("&amp;ROUND(K9,4)&amp;" - "&amp;ROUND(K10,4)&amp;")"</f>
        <v>(0,0015 - 0,0007)</v>
      </c>
      <c r="H17" s="10" t="s">
        <v>9</v>
      </c>
      <c r="I17" s="35">
        <f>K10</f>
        <v>6.972597875299618E-4</v>
      </c>
      <c r="J17" s="10" t="s">
        <v>8</v>
      </c>
      <c r="K17" s="12">
        <f>(K9-K10)/K10</f>
        <v>1.1650579958521805</v>
      </c>
      <c r="L17" s="5" t="s">
        <v>10</v>
      </c>
      <c r="M17" s="12">
        <f>M13-1</f>
        <v>0.86577720020845228</v>
      </c>
      <c r="N17" s="5" t="s">
        <v>11</v>
      </c>
      <c r="O17" s="14">
        <f>O13-1</f>
        <v>1.5123450564621299</v>
      </c>
    </row>
    <row r="18" spans="1:15">
      <c r="A18" s="5" t="s">
        <v>67</v>
      </c>
      <c r="E18" s="5" t="s">
        <v>68</v>
      </c>
      <c r="F18" s="10" t="s">
        <v>8</v>
      </c>
      <c r="G18" s="22" t="str">
        <f>"("&amp;ROUND(K9,4)&amp;" - "&amp;ROUND(K10,4)&amp;")"</f>
        <v>(0,0015 - 0,0007)</v>
      </c>
      <c r="H18" s="10" t="s">
        <v>9</v>
      </c>
      <c r="I18" s="35">
        <f>K9</f>
        <v>1.5096078781779362E-3</v>
      </c>
      <c r="J18" s="10" t="s">
        <v>8</v>
      </c>
      <c r="K18" s="12">
        <f>(K9-K10)/K9</f>
        <v>0.53811860840873516</v>
      </c>
      <c r="L18" s="5" t="s">
        <v>10</v>
      </c>
      <c r="M18" s="12">
        <f>1-1/M13</f>
        <v>0.46403032479533146</v>
      </c>
      <c r="N18" s="5" t="s">
        <v>11</v>
      </c>
      <c r="O18" s="14">
        <f>1-1/O13</f>
        <v>0.60196550333408649</v>
      </c>
    </row>
    <row r="19" spans="1:15">
      <c r="A19" s="5" t="s">
        <v>69</v>
      </c>
      <c r="E19" s="5" t="s">
        <v>70</v>
      </c>
      <c r="F19" s="10" t="s">
        <v>8</v>
      </c>
      <c r="G19" s="22" t="str">
        <f>"("&amp;ROUND(K11,4)&amp;" - "&amp;ROUND(K10,4)&amp;")"</f>
        <v>(0,0009 - 0,0007)</v>
      </c>
      <c r="H19" s="10" t="s">
        <v>9</v>
      </c>
      <c r="I19" s="35">
        <f>K11</f>
        <v>9.2655769215452537E-4</v>
      </c>
      <c r="J19" s="10" t="s">
        <v>8</v>
      </c>
      <c r="K19" s="12">
        <f>(K11-K10)/K11</f>
        <v>0.24747288438281373</v>
      </c>
      <c r="L19" s="5" t="s">
        <v>10</v>
      </c>
      <c r="M19" s="12">
        <f>$K$12*(M13-1)/($K$12*(M13-1)+1)</f>
        <v>0.19638637660524091</v>
      </c>
      <c r="N19" s="5" t="s">
        <v>11</v>
      </c>
      <c r="O19" s="14">
        <f>$K$12*(O13-1)/($K$12*(O13-1)+1)</f>
        <v>0.29917166837020975</v>
      </c>
    </row>
    <row r="23" spans="1:15">
      <c r="O23" s="14"/>
    </row>
  </sheetData>
  <sheetProtection password="DC67" sheet="1" objects="1" scenarios="1"/>
  <phoneticPr fontId="0" type="noConversion"/>
  <printOptions horizontalCentered="1" verticalCentered="1"/>
  <pageMargins left="0.47" right="0.34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27"/>
  <sheetViews>
    <sheetView zoomScale="90" workbookViewId="0" xr3:uid="{51F8DEE0-4D01-5F28-A812-FC0BD7CAC4A5}">
      <selection activeCell="K13" sqref="K13"/>
    </sheetView>
  </sheetViews>
  <sheetFormatPr defaultRowHeight="12.75"/>
  <cols>
    <col min="1" max="1" width="12.42578125" style="5" customWidth="1"/>
    <col min="2" max="4" width="10.7109375" style="5" customWidth="1"/>
    <col min="5" max="5" width="4.85546875" style="5" customWidth="1"/>
    <col min="6" max="6" width="2.28515625" style="5" customWidth="1"/>
    <col min="7" max="7" width="11.7109375" style="5" customWidth="1"/>
    <col min="8" max="8" width="1.85546875" style="5" customWidth="1"/>
    <col min="9" max="9" width="11.7109375" style="5" customWidth="1"/>
    <col min="10" max="10" width="2.5703125" style="5" customWidth="1"/>
    <col min="11" max="11" width="8.7109375" style="5" customWidth="1"/>
    <col min="12" max="12" width="4.42578125" style="5" customWidth="1"/>
    <col min="13" max="13" width="7.5703125" style="5" customWidth="1"/>
    <col min="14" max="14" width="2.42578125" style="5" customWidth="1"/>
    <col min="15" max="15" width="8.42578125" style="5" customWidth="1"/>
    <col min="16" max="16" width="9.140625" style="5"/>
    <col min="17" max="17" width="14.7109375" style="5" bestFit="1" customWidth="1"/>
    <col min="18" max="16384" width="9.140625" style="5"/>
  </cols>
  <sheetData>
    <row r="1" spans="1:23" s="2" customFormat="1" ht="33.75" customHeight="1">
      <c r="A1" s="1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23" ht="23.25" customHeight="1" thickBot="1">
      <c r="A3" s="3"/>
      <c r="B3" s="4" t="s">
        <v>72</v>
      </c>
      <c r="C3" s="4" t="s">
        <v>73</v>
      </c>
      <c r="D3" s="4" t="s">
        <v>3</v>
      </c>
    </row>
    <row r="4" spans="1:23" ht="30" customHeight="1" thickBot="1">
      <c r="A4" s="4" t="s">
        <v>74</v>
      </c>
      <c r="B4" s="52">
        <v>207</v>
      </c>
      <c r="C4" s="52">
        <v>231</v>
      </c>
      <c r="D4" s="39">
        <f>SUM(B4:C4)</f>
        <v>438</v>
      </c>
    </row>
    <row r="5" spans="1:23" ht="30" customHeight="1" thickBot="1">
      <c r="A5" s="4" t="s">
        <v>75</v>
      </c>
      <c r="B5" s="40">
        <f>B6-B4</f>
        <v>44</v>
      </c>
      <c r="C5" s="40">
        <f>C6-C4</f>
        <v>249</v>
      </c>
      <c r="D5" s="39">
        <f>SUM(B5:C5)</f>
        <v>293</v>
      </c>
    </row>
    <row r="6" spans="1:23" ht="30" customHeight="1">
      <c r="A6" s="4" t="s">
        <v>3</v>
      </c>
      <c r="B6" s="56">
        <v>251</v>
      </c>
      <c r="C6" s="56">
        <v>480</v>
      </c>
      <c r="D6" s="8">
        <f>B6+C6</f>
        <v>731</v>
      </c>
      <c r="E6" s="9"/>
    </row>
    <row r="8" spans="1:23">
      <c r="B8" s="41" t="s">
        <v>76</v>
      </c>
    </row>
    <row r="10" spans="1:23" ht="14.1" customHeight="1">
      <c r="A10" s="5" t="s">
        <v>77</v>
      </c>
      <c r="E10" s="10"/>
      <c r="F10" s="10" t="s">
        <v>8</v>
      </c>
      <c r="G10" s="5">
        <f>B6</f>
        <v>251</v>
      </c>
      <c r="H10" s="10" t="s">
        <v>9</v>
      </c>
      <c r="I10" s="11">
        <f>D6</f>
        <v>731</v>
      </c>
      <c r="J10" s="10" t="s">
        <v>8</v>
      </c>
      <c r="K10" s="42">
        <f t="shared" ref="K10:K15" si="0">G10/I10</f>
        <v>0.34336525307797539</v>
      </c>
      <c r="Q10" s="5" t="s">
        <v>78</v>
      </c>
      <c r="R10" s="5">
        <f>K10/(1-K10)</f>
        <v>0.5229166666666667</v>
      </c>
      <c r="S10" s="5">
        <f>$R10*K16</f>
        <v>0.89610389610389629</v>
      </c>
      <c r="T10" s="5" t="s">
        <v>50</v>
      </c>
      <c r="U10" s="5">
        <f>$R10*M16</f>
        <v>0.80356640567614634</v>
      </c>
      <c r="V10" s="5" t="s">
        <v>11</v>
      </c>
      <c r="W10" s="5">
        <f>$R10*O16</f>
        <v>0.99929786379871244</v>
      </c>
    </row>
    <row r="11" spans="1:23" ht="14.1" customHeight="1">
      <c r="A11" s="5" t="s">
        <v>79</v>
      </c>
      <c r="E11" s="10"/>
      <c r="F11" s="10" t="s">
        <v>8</v>
      </c>
      <c r="G11" s="5">
        <f>B4</f>
        <v>207</v>
      </c>
      <c r="H11" s="10" t="s">
        <v>9</v>
      </c>
      <c r="I11" s="11">
        <f>B6</f>
        <v>251</v>
      </c>
      <c r="J11" s="10" t="s">
        <v>8</v>
      </c>
      <c r="K11" s="24">
        <f t="shared" si="0"/>
        <v>0.82470119521912355</v>
      </c>
      <c r="L11" s="5" t="s">
        <v>10</v>
      </c>
      <c r="M11" s="13">
        <f>$K11-1.96*SQRT($K11*(1-$K11)/(B6-1))</f>
        <v>0.77756832836400924</v>
      </c>
      <c r="N11" s="5" t="s">
        <v>11</v>
      </c>
      <c r="O11" s="14">
        <f>$K11+1.96*SQRT($K11*(1-$K11)/(B6-1))</f>
        <v>0.87183406207423786</v>
      </c>
      <c r="S11" s="5">
        <f>$R10*K17</f>
        <v>0.1767068273092369</v>
      </c>
      <c r="T11" s="5" t="s">
        <v>50</v>
      </c>
      <c r="U11" s="5">
        <f>$R10*M17</f>
        <v>0.13330784199762044</v>
      </c>
      <c r="V11" s="5" t="s">
        <v>11</v>
      </c>
      <c r="W11" s="5">
        <f>$R10*O17</f>
        <v>0.23423455326997075</v>
      </c>
    </row>
    <row r="12" spans="1:23" ht="14.1" customHeight="1">
      <c r="A12" s="5" t="s">
        <v>80</v>
      </c>
      <c r="E12" s="10"/>
      <c r="F12" s="10" t="s">
        <v>8</v>
      </c>
      <c r="G12" s="5">
        <f>C5</f>
        <v>249</v>
      </c>
      <c r="H12" s="10" t="s">
        <v>9</v>
      </c>
      <c r="I12" s="11">
        <f>C6</f>
        <v>480</v>
      </c>
      <c r="J12" s="10" t="s">
        <v>8</v>
      </c>
      <c r="K12" s="24">
        <f t="shared" si="0"/>
        <v>0.51875000000000004</v>
      </c>
      <c r="L12" s="5" t="s">
        <v>10</v>
      </c>
      <c r="M12" s="13">
        <f>$K12-1.96*SQRT($K12*(1-$K12)/(C6-1))</f>
        <v>0.47400415223191833</v>
      </c>
      <c r="N12" s="5" t="s">
        <v>11</v>
      </c>
      <c r="O12" s="14">
        <f>$K12+1.96*SQRT($K12*(1-$K12)/(C6-1))</f>
        <v>0.5634958477680817</v>
      </c>
    </row>
    <row r="13" spans="1:23" ht="14.1" customHeight="1">
      <c r="A13" s="5" t="s">
        <v>81</v>
      </c>
      <c r="E13" s="10"/>
      <c r="F13" s="10" t="s">
        <v>8</v>
      </c>
      <c r="G13" s="5">
        <f>B4</f>
        <v>207</v>
      </c>
      <c r="H13" s="10" t="s">
        <v>9</v>
      </c>
      <c r="I13" s="11">
        <f>D4</f>
        <v>438</v>
      </c>
      <c r="J13" s="10" t="s">
        <v>8</v>
      </c>
      <c r="K13" s="42">
        <f t="shared" si="0"/>
        <v>0.4726027397260274</v>
      </c>
      <c r="L13" s="5" t="s">
        <v>10</v>
      </c>
      <c r="M13" s="13">
        <f>U10/(1+U10)</f>
        <v>0.44554301030845272</v>
      </c>
      <c r="N13" s="5" t="s">
        <v>11</v>
      </c>
      <c r="O13" s="14">
        <f>W10/(1+W10)</f>
        <v>0.49982440430363051</v>
      </c>
    </row>
    <row r="14" spans="1:23" ht="14.1" customHeight="1">
      <c r="A14" s="5" t="s">
        <v>82</v>
      </c>
      <c r="E14" s="10"/>
      <c r="F14" s="10" t="s">
        <v>8</v>
      </c>
      <c r="G14" s="38">
        <f>B5</f>
        <v>44</v>
      </c>
      <c r="H14" s="43" t="s">
        <v>9</v>
      </c>
      <c r="I14" s="44">
        <f>D5</f>
        <v>293</v>
      </c>
      <c r="J14" s="10" t="s">
        <v>8</v>
      </c>
      <c r="K14" s="42">
        <f t="shared" si="0"/>
        <v>0.15017064846416384</v>
      </c>
      <c r="L14" s="5" t="s">
        <v>10</v>
      </c>
      <c r="M14" s="13">
        <f>U11/(1+U11)</f>
        <v>0.11762721218150747</v>
      </c>
      <c r="N14" s="5" t="s">
        <v>11</v>
      </c>
      <c r="O14" s="14">
        <f>W11/(1+W11)</f>
        <v>0.18978123133029429</v>
      </c>
    </row>
    <row r="15" spans="1:23" ht="14.1" customHeight="1">
      <c r="A15" s="5" t="s">
        <v>83</v>
      </c>
      <c r="E15" s="10"/>
      <c r="F15" s="10" t="s">
        <v>8</v>
      </c>
      <c r="G15" s="38">
        <f>C5</f>
        <v>249</v>
      </c>
      <c r="H15" s="43" t="s">
        <v>9</v>
      </c>
      <c r="I15" s="44">
        <f>D5</f>
        <v>293</v>
      </c>
      <c r="J15" s="10" t="s">
        <v>8</v>
      </c>
      <c r="K15" s="24">
        <f t="shared" si="0"/>
        <v>0.84982935153583616</v>
      </c>
      <c r="L15" s="5" t="s">
        <v>10</v>
      </c>
      <c r="M15" s="13">
        <f>1-M14</f>
        <v>0.88237278781849249</v>
      </c>
      <c r="N15" s="5" t="s">
        <v>11</v>
      </c>
      <c r="O15" s="14">
        <f>1-O14</f>
        <v>0.81021876866970577</v>
      </c>
    </row>
    <row r="16" spans="1:23" ht="14.1" customHeight="1">
      <c r="A16" s="5" t="s">
        <v>84</v>
      </c>
      <c r="E16" s="10"/>
      <c r="F16" s="10" t="s">
        <v>8</v>
      </c>
      <c r="G16" s="45">
        <f>K11</f>
        <v>0.82470119521912355</v>
      </c>
      <c r="H16" s="10" t="s">
        <v>9</v>
      </c>
      <c r="I16" s="11" t="str">
        <f>"(1 - "&amp;ROUND(K12,3)&amp;")"</f>
        <v>(1 - 0,519)</v>
      </c>
      <c r="J16" s="10" t="s">
        <v>8</v>
      </c>
      <c r="K16" s="46">
        <f>K11/(1-K12)</f>
        <v>1.7136648212345427</v>
      </c>
      <c r="L16" s="5" t="s">
        <v>10</v>
      </c>
      <c r="M16" s="20">
        <f>EXP(LN($K$16)-1.96*SQRT((1-$K$11)/$B$4+$K$12/$C$4))</f>
        <v>1.5367006961137459</v>
      </c>
      <c r="N16" s="5" t="s">
        <v>11</v>
      </c>
      <c r="O16" s="17">
        <f>EXP(LN($K$16)+1.96*SQRT((1-$K$11)/$B$4+$K$12/$C$4))</f>
        <v>1.911007867025426</v>
      </c>
    </row>
    <row r="17" spans="1:19" ht="14.1" customHeight="1">
      <c r="A17" s="5" t="s">
        <v>85</v>
      </c>
      <c r="E17" s="10"/>
      <c r="F17" s="10" t="s">
        <v>8</v>
      </c>
      <c r="G17" s="18" t="str">
        <f>"(1 - "&amp;ROUND(K11,3)&amp;")"</f>
        <v>(1 - 0,825)</v>
      </c>
      <c r="H17" s="10" t="s">
        <v>9</v>
      </c>
      <c r="I17" s="19">
        <f>K12</f>
        <v>0.51875000000000004</v>
      </c>
      <c r="J17" s="10" t="s">
        <v>8</v>
      </c>
      <c r="K17" s="47">
        <f>(1-K11)/K12</f>
        <v>0.33792540680650879</v>
      </c>
      <c r="L17" s="5" t="s">
        <v>10</v>
      </c>
      <c r="M17" s="16">
        <f>EXP(LN($K$17)-1.96*SQRT($K$11/$B$5+(1-$K$12)/$C$5))</f>
        <v>0.25493133131019047</v>
      </c>
      <c r="N17" s="5" t="s">
        <v>11</v>
      </c>
      <c r="O17" s="17">
        <f>EXP(LN($K$17)+1.96*SQRT($K$11/$B$5+(1-$K$12)/$C$5))</f>
        <v>0.44793858792663727</v>
      </c>
    </row>
    <row r="18" spans="1:19" ht="14.1" customHeight="1">
      <c r="A18" s="5" t="s">
        <v>86</v>
      </c>
      <c r="E18" s="10"/>
      <c r="F18" s="10" t="s">
        <v>8</v>
      </c>
      <c r="G18" s="48" t="str">
        <f>"10 x ln ("&amp;ROUND(K16,1)&amp;")"</f>
        <v>10 x ln (1,7)</v>
      </c>
      <c r="H18" s="48"/>
      <c r="I18" s="49"/>
      <c r="J18" s="10" t="s">
        <v>8</v>
      </c>
      <c r="K18" s="43">
        <f>10*LN(K16)</f>
        <v>5.386342475137285</v>
      </c>
      <c r="L18" s="5" t="s">
        <v>10</v>
      </c>
      <c r="M18" s="50">
        <f>10*LN(M16)</f>
        <v>4.2963771307165839</v>
      </c>
      <c r="N18" s="5" t="s">
        <v>11</v>
      </c>
      <c r="O18" s="51">
        <f>10*LN(O16)</f>
        <v>6.4763078195579844</v>
      </c>
    </row>
    <row r="19" spans="1:19" ht="14.1" customHeight="1">
      <c r="A19" s="5" t="s">
        <v>87</v>
      </c>
      <c r="E19" s="10"/>
      <c r="F19" s="10" t="s">
        <v>8</v>
      </c>
      <c r="G19" s="48" t="str">
        <f>"10 x ln ("&amp;ROUND(K17,2)&amp;")"</f>
        <v>10 x ln (0,34)</v>
      </c>
      <c r="H19" s="48"/>
      <c r="I19" s="49"/>
      <c r="J19" s="10" t="s">
        <v>8</v>
      </c>
      <c r="K19" s="43">
        <f>10*LN(K17)</f>
        <v>-10.84930097776294</v>
      </c>
      <c r="L19" s="5" t="s">
        <v>10</v>
      </c>
      <c r="M19" s="50">
        <f>10*LN(M17)</f>
        <v>-13.667610590681441</v>
      </c>
      <c r="N19" s="5" t="s">
        <v>11</v>
      </c>
      <c r="O19" s="51">
        <f>10*LN(O17)</f>
        <v>-8.0309913648444429</v>
      </c>
    </row>
    <row r="21" spans="1:19" ht="14.1" customHeight="1">
      <c r="A21" s="5" t="s">
        <v>20</v>
      </c>
      <c r="E21" s="10"/>
      <c r="F21" s="10" t="s">
        <v>8</v>
      </c>
      <c r="G21" s="18" t="str">
        <f>"("&amp;B4&amp;" x "&amp;C5&amp;")"</f>
        <v>(207 x 249)</v>
      </c>
      <c r="H21" s="10" t="s">
        <v>9</v>
      </c>
      <c r="I21" s="11" t="str">
        <f>"("&amp;B5&amp;" x "&amp;C4&amp;")"</f>
        <v>(44 x 231)</v>
      </c>
      <c r="J21" s="10" t="s">
        <v>8</v>
      </c>
      <c r="K21" s="16">
        <f>(B4*C5)/(B5*C4)</f>
        <v>5.0711334120425029</v>
      </c>
      <c r="L21" s="5" t="s">
        <v>10</v>
      </c>
      <c r="M21" s="16">
        <f>EXP(LN($K$21)-1.96*SQRT(1/$B$4+1/$C$4+1/$B$5+1/$C$5))</f>
        <v>3.4979619540936717</v>
      </c>
      <c r="N21" s="5" t="s">
        <v>11</v>
      </c>
      <c r="O21" s="17">
        <f>EXP(LN($K$21)+1.96*SQRT(1/$B$4+1/$C$4+1/$B$5+1/$C$5))</f>
        <v>7.3518221239192982</v>
      </c>
    </row>
    <row r="22" spans="1:19" ht="14.1" customHeight="1">
      <c r="E22" s="10"/>
      <c r="F22" s="10"/>
      <c r="G22" s="18"/>
      <c r="H22" s="10"/>
      <c r="I22" s="11"/>
      <c r="J22" s="10"/>
      <c r="K22" s="16"/>
      <c r="M22" s="16"/>
      <c r="O22" s="17"/>
    </row>
    <row r="23" spans="1:19" ht="14.1" customHeight="1">
      <c r="B23" s="41" t="s">
        <v>88</v>
      </c>
      <c r="E23" s="10"/>
      <c r="F23" s="10"/>
      <c r="G23" s="18"/>
      <c r="H23" s="10"/>
      <c r="I23" s="11"/>
      <c r="J23" s="10"/>
      <c r="K23" s="16"/>
      <c r="M23" s="16"/>
      <c r="O23" s="17"/>
    </row>
    <row r="25" spans="1:19">
      <c r="A25" s="5" t="s">
        <v>89</v>
      </c>
      <c r="G25" s="57">
        <v>0.01</v>
      </c>
      <c r="R25" s="36">
        <f>G25/(1-G25)</f>
        <v>1.0101010101010102E-2</v>
      </c>
      <c r="S25" s="36">
        <f>R25*K16</f>
        <v>1.7309745669035786E-2</v>
      </c>
    </row>
    <row r="26" spans="1:19">
      <c r="A26" s="5" t="s">
        <v>90</v>
      </c>
      <c r="G26" s="12">
        <f>S25/(1+S25)</f>
        <v>1.7015216597234106E-2</v>
      </c>
      <c r="S26" s="36">
        <f>R25*K17</f>
        <v>3.413387947540493E-3</v>
      </c>
    </row>
    <row r="27" spans="1:19">
      <c r="A27" s="5" t="s">
        <v>91</v>
      </c>
      <c r="G27" s="12">
        <f>S26/(1+S26)</f>
        <v>3.4017763650956477E-3</v>
      </c>
    </row>
  </sheetData>
  <sheetProtection password="DC67" sheet="1" objects="1" scenarios="1"/>
  <phoneticPr fontId="0" type="noConversion"/>
  <printOptions horizontalCentered="1" verticalCentered="1"/>
  <pageMargins left="0.35" right="0.34" top="0.98425196850393704" bottom="0.59055118110236227" header="0.51181102362204722" footer="0.51181102362204722"/>
  <pageSetup paperSize="9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ASL PROVINCIA DI BERGAMO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ufficio epidemiologico</dc:creator>
  <cp:keywords/>
  <dc:description/>
  <cp:lastModifiedBy>Utente guest</cp:lastModifiedBy>
  <cp:revision/>
  <dcterms:created xsi:type="dcterms:W3CDTF">1999-08-30T12:44:59Z</dcterms:created>
  <dcterms:modified xsi:type="dcterms:W3CDTF">2019-03-26T14:18:17Z</dcterms:modified>
  <cp:category/>
  <cp:contentStatus/>
</cp:coreProperties>
</file>